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6765" tabRatio="795" activeTab="1"/>
  </bookViews>
  <sheets>
    <sheet name="Instructions" sheetId="1" r:id="rId1"/>
    <sheet name="Bid Comparison" sheetId="2" r:id="rId2"/>
  </sheets>
  <definedNames>
    <definedName name="_xlnm.Print_Area" localSheetId="1">'Bid Comparison'!$A$1:$AA$30</definedName>
    <definedName name="_xlnm.Print_Area" localSheetId="0">'Instructions'!$A$1:$P$60</definedName>
  </definedNames>
  <calcPr fullCalcOnLoad="1"/>
</workbook>
</file>

<file path=xl/comments2.xml><?xml version="1.0" encoding="utf-8"?>
<comments xmlns="http://schemas.openxmlformats.org/spreadsheetml/2006/main">
  <authors>
    <author>MMOUser</author>
    <author>SCBCB - Audit</author>
  </authors>
  <commentList>
    <comment ref="K7" authorId="0">
      <text>
        <r>
          <rPr>
            <b/>
            <sz val="8"/>
            <rFont val="Tahoma"/>
            <family val="0"/>
          </rPr>
          <t>MMOUser:</t>
        </r>
        <r>
          <rPr>
            <sz val="8"/>
            <rFont val="Tahoma"/>
            <family val="0"/>
          </rPr>
          <t xml:space="preserve">
Tie Bid Check</t>
        </r>
      </text>
    </comment>
    <comment ref="L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Low Bid</t>
        </r>
      </text>
    </comment>
    <comment ref="M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Contract Value
</t>
        </r>
      </text>
    </comment>
    <comment ref="N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Preference Value</t>
        </r>
      </text>
    </comment>
    <comment ref="O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SCEP Check and USEP Nullifier</t>
        </r>
      </text>
    </comment>
    <comment ref="Q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RSCP-2% Reduction Sum</t>
        </r>
      </text>
    </comment>
    <comment ref="R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RSCP-4% Reduction Sum</t>
        </r>
      </text>
    </comment>
    <comment ref="S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RSCP Total Reduction</t>
        </r>
      </text>
    </comment>
    <comment ref="T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Sub Percentage Error Check</t>
        </r>
      </text>
    </comment>
    <comment ref="U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Bid Error Check
</t>
        </r>
      </text>
    </comment>
    <comment ref="V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End Product Reduction</t>
        </r>
      </text>
    </comment>
    <comment ref="W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Resident Vendor Reduction</t>
        </r>
      </text>
    </comment>
    <comment ref="X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Subcontractor Capped Reduction</t>
        </r>
      </text>
    </comment>
    <comment ref="Y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Total Reduction</t>
        </r>
      </text>
    </comment>
    <comment ref="Z7" authorId="1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Capped Reduction</t>
        </r>
      </text>
    </comment>
  </commentList>
</comments>
</file>

<file path=xl/sharedStrings.xml><?xml version="1.0" encoding="utf-8"?>
<sst xmlns="http://schemas.openxmlformats.org/spreadsheetml/2006/main" count="99" uniqueCount="99">
  <si>
    <t>PREFERENCE</t>
  </si>
  <si>
    <t>BID</t>
  </si>
  <si>
    <t>REDUCTION</t>
  </si>
  <si>
    <t>------</t>
  </si>
  <si>
    <t>SUBCONTRACTORS</t>
  </si>
  <si>
    <t>Drop-Down Menu</t>
  </si>
  <si>
    <t>PV</t>
  </si>
  <si>
    <t>CV</t>
  </si>
  <si>
    <t>EPR</t>
  </si>
  <si>
    <t>RVR</t>
  </si>
  <si>
    <t>TR</t>
  </si>
  <si>
    <t>CR</t>
  </si>
  <si>
    <t>LB</t>
  </si>
  <si>
    <t>SCEP</t>
  </si>
  <si>
    <t>T%</t>
  </si>
  <si>
    <t>BEC</t>
  </si>
  <si>
    <t>SEC</t>
  </si>
  <si>
    <t>Calculated from Preferences</t>
  </si>
  <si>
    <t>LOW BID</t>
  </si>
  <si>
    <t xml:space="preserve">  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</si>
  <si>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</si>
  <si>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</si>
  <si>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</si>
  <si>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</si>
  <si>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</si>
  <si>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>SCR</t>
  </si>
  <si>
    <t>State Office</t>
  </si>
  <si>
    <t>What type of line item is being compared?</t>
  </si>
  <si>
    <t>1)</t>
  </si>
  <si>
    <t xml:space="preserve">In the Tools menu, point to Macro, then Security. On the Security Level tab, select either Medium or Low, </t>
  </si>
  <si>
    <t xml:space="preserve">prompted to Disable or Enable Macros. If you selected Low, then the macros will automatically be active. </t>
  </si>
  <si>
    <t>2)</t>
  </si>
  <si>
    <t>3)</t>
  </si>
  <si>
    <t>4)</t>
  </si>
  <si>
    <t>5)</t>
  </si>
  <si>
    <t>click OK, then close all occurences of Excel. When you reopen this file, if you chose Medium, you will be</t>
  </si>
  <si>
    <t xml:space="preserve">THIS CALCULATOR USES MACROS. MAKE SURE YOUR EXCEL SECURITY LEVEL </t>
  </si>
  <si>
    <t>OPERATING INSTRUCTIONS</t>
  </si>
  <si>
    <t>VENDOR PREFERENCE CALCULATOR</t>
  </si>
  <si>
    <t>TBC</t>
  </si>
  <si>
    <t>Service Contracts Only</t>
  </si>
  <si>
    <t>Message Indicator</t>
  </si>
  <si>
    <t>Select the appropriate calculator: Commodity or Service. If you switch calculators, all previously entered preference selections will be lost.</t>
  </si>
  <si>
    <t>VENDOR</t>
  </si>
  <si>
    <t xml:space="preserve">Solicitation Number: </t>
  </si>
  <si>
    <t xml:space="preserve">Buyer: </t>
  </si>
  <si>
    <t xml:space="preserve">Date: </t>
  </si>
  <si>
    <t>Enter Vendor Name.</t>
  </si>
  <si>
    <t>Select Preference(s).</t>
  </si>
  <si>
    <t>RSCP-2% Claims</t>
  </si>
  <si>
    <t>RSCP-4% Claims</t>
  </si>
  <si>
    <t>mstiles@mmo.sc.gov</t>
  </si>
  <si>
    <r>
      <t xml:space="preserve">IS SET TO </t>
    </r>
    <r>
      <rPr>
        <b/>
        <u val="single"/>
        <sz val="12"/>
        <rFont val="Times New Roman"/>
        <family val="1"/>
      </rPr>
      <t>MEDIUM</t>
    </r>
    <r>
      <rPr>
        <b/>
        <sz val="12"/>
        <rFont val="Times New Roman"/>
        <family val="1"/>
      </rPr>
      <t xml:space="preserve"> OR </t>
    </r>
    <r>
      <rPr>
        <b/>
        <u val="single"/>
        <sz val="12"/>
        <rFont val="Times New Roman"/>
        <family val="1"/>
      </rPr>
      <t>LOW</t>
    </r>
    <r>
      <rPr>
        <b/>
        <sz val="12"/>
        <rFont val="Times New Roman"/>
        <family val="1"/>
      </rPr>
      <t xml:space="preserve"> BEFORE USING THE CALCULATOR. </t>
    </r>
  </si>
  <si>
    <t>For each row:</t>
  </si>
  <si>
    <t>6)</t>
  </si>
  <si>
    <t>Data entry</t>
  </si>
  <si>
    <t xml:space="preserve">Line Item: </t>
  </si>
  <si>
    <t xml:space="preserve">   of that preference that the vendor has claimed.</t>
  </si>
  <si>
    <t>8)</t>
  </si>
  <si>
    <t>7)</t>
  </si>
  <si>
    <t>Reduction Percentage will be computed from the Preferences and applied to the Vendor's Bid.</t>
  </si>
  <si>
    <t>9)</t>
  </si>
  <si>
    <t>The spreadsheet located at the Bid Comparison tab is provided solely as a tool of convenience. The spreadsheet is</t>
  </si>
  <si>
    <t>not an official agency interpretation of the preference statute and should not be used exclusively for application of</t>
  </si>
  <si>
    <t xml:space="preserve">the preferences outlined in section 11-35-1524 of the Cosolidated Procurement Code. While the spreadsheet is </t>
  </si>
  <si>
    <t xml:space="preserve">intended to facilitate quick and efficient mathematical computations in the comparison of bids, you must trust the </t>
  </si>
  <si>
    <t>statute itself for the legal application of preferences.</t>
  </si>
  <si>
    <t xml:space="preserve">The spreadsheet itself was created with Excel Version 11 in Microsoft Office 2003. Should you be using later versions </t>
  </si>
  <si>
    <t xml:space="preserve">of Excel, especially those in Microsoft Office 2007, be aware that some macro operations may not function properly. </t>
  </si>
  <si>
    <r>
      <t xml:space="preserve">If any errors are displayed, please notify Mac Stiles promptly at </t>
    </r>
  </si>
  <si>
    <t xml:space="preserve">.  Depending on your screen size </t>
  </si>
  <si>
    <t xml:space="preserve">and the Zoom setting on your version of Excel, you may not see all content of the spreadsheet. Please modify your </t>
  </si>
  <si>
    <t>settings to ensure you will see cells A1 - J32 before using.</t>
  </si>
  <si>
    <t>ADJUSTED</t>
  </si>
  <si>
    <t>a.  Enter a Vendor's name.</t>
  </si>
  <si>
    <t>b.  Select the applicable preference(s), if any.</t>
  </si>
  <si>
    <t xml:space="preserve">i.  For Commodity Line Items, the Subcontractor preferences will be locked and you will not be able to change the drop-down menus </t>
  </si>
  <si>
    <t xml:space="preserve">    in the RSCP-2% and RSCP-4% columns.</t>
  </si>
  <si>
    <t>Adjusted Bid will reflect the price used for comparison and will determine the lowest bidder as governed by the statute.</t>
  </si>
  <si>
    <t>Enter your Solicitation Number, Line Item, Buyer name, and Date.</t>
  </si>
  <si>
    <t xml:space="preserve"> is to be made by item or lot. Accordingly, this Preferences Calculator should be used separately for each line item of your solicitation.</t>
  </si>
  <si>
    <t>The preferences must be applied to the price of each line item of end product or work, as applicable, regardless of whether award</t>
  </si>
  <si>
    <t xml:space="preserve">ii.  For Service Line Items, the Subcontractor preferences will only be unlocked when the "RSCP's" or "RCP + RSCP's" preference </t>
  </si>
  <si>
    <t xml:space="preserve">    categories are selected under the main Preference column.</t>
  </si>
  <si>
    <t xml:space="preserve">c.  If the applicable Preference(s) include(s) a Resident Subcontractor Preference (RSCP), use the drop-down menu to select the number of instances </t>
  </si>
  <si>
    <t xml:space="preserve">When all bids have been entered, save a copy of the spreadsheet to your hard drive or network drive and/or print a copy for your procurement file. </t>
  </si>
  <si>
    <t>If you have the proper software, you can print to a portable electronic document format file like Adobe Acrobat.</t>
  </si>
  <si>
    <t xml:space="preserve"> * The preferences must be applied to the price of each line item of end product or work, as applicable, regardless of whether award is to be made</t>
  </si>
  <si>
    <t xml:space="preserve"> by item or lot.  Accordingly, this Preferences Calculator should be used separately for each line item.  Of course, a preference must not be applied </t>
  </si>
  <si>
    <t xml:space="preserve"> to an item for which a bidder does not qualify.</t>
  </si>
  <si>
    <t>award, whether it be by line item or by lot. If this column says "Tie Bid," the provision for settling tie bids, 11-35-1520(9), will need to be utilized.</t>
  </si>
  <si>
    <t>Low Bid will indicate the lowest bid for the Line Item being compared, and the Adjusted Bid should be used for this Vendor when determining</t>
  </si>
  <si>
    <t xml:space="preserve">d.  Place a check mark in the State Office box, if applicable. This box represents a claim that the Vendor maintains an office in the state of South </t>
  </si>
  <si>
    <t xml:space="preserve">     Carolina, as defined in 11-35-1524(A)(6). Checking this box for Commodity Line Items will have no effect on the Preference Percentages.</t>
  </si>
  <si>
    <t xml:space="preserve">    If you should need to start over, please click the Reset Table button. If this doesn't solve a problem, download the spreadsheet again.</t>
  </si>
  <si>
    <t xml:space="preserve">* Grey columns contain forumlas and are locked. Do not modify these cells in any way. Do not manually unprotect the sheet. </t>
  </si>
  <si>
    <t>Vendor's
Bid Amount</t>
  </si>
  <si>
    <t>Bid less
Reduction</t>
  </si>
  <si>
    <t>Identified 
by comparing Adjusted Bids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</si>
</sst>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51"/>
      <name val="Arial"/>
      <family val="2"/>
    </font>
    <font>
      <sz val="8"/>
      <name val="Tahoma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6"/>
      <color indexed="9"/>
      <name val="Arial"/>
      <family val="2"/>
    </font>
    <font>
      <b/>
      <sz val="9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u val="single"/>
      <sz val="8"/>
      <name val="Arial"/>
      <family val="2"/>
    </font>
    <font>
      <b/>
      <sz val="8"/>
      <name val="Tahoma"/>
      <family val="0"/>
    </font>
    <font>
      <sz val="9"/>
      <color indexed="9"/>
      <name val="Arial"/>
      <family val="2"/>
    </font>
    <font>
      <sz val="12"/>
      <color indexed="51"/>
      <name val="Arial"/>
      <family val="2"/>
    </font>
    <font>
      <sz val="12"/>
      <name val="Arial"/>
      <family val="2"/>
    </font>
    <font>
      <sz val="9"/>
      <color indexed="51"/>
      <name val="Arial"/>
      <family val="2"/>
    </font>
    <font>
      <sz val="7"/>
      <name val="Arial"/>
      <family val="2"/>
    </font>
    <font>
      <sz val="10"/>
      <color indexed="43"/>
      <name val="Arial"/>
      <family val="2"/>
    </font>
    <font>
      <b/>
      <u val="single"/>
      <sz val="12"/>
      <name val="Times New Roman"/>
      <family val="1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u val="single"/>
      <sz val="12"/>
      <name val="Times New Roman"/>
      <family val="1"/>
    </font>
    <font>
      <sz val="1"/>
      <color indexed="43"/>
      <name val="Arial"/>
      <family val="2"/>
    </font>
    <font>
      <sz val="1"/>
      <color indexed="4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2" borderId="0" xfId="0" applyFont="1" applyFill="1" applyAlignment="1">
      <alignment vertical="top" wrapText="1"/>
    </xf>
    <xf numFmtId="0" fontId="18" fillId="2" borderId="0" xfId="0" applyFont="1" applyFill="1" applyAlignment="1" applyProtection="1">
      <alignment horizontal="center"/>
      <protection hidden="1"/>
    </xf>
    <xf numFmtId="9" fontId="18" fillId="2" borderId="0" xfId="0" applyNumberFormat="1" applyFont="1" applyFill="1" applyAlignment="1" applyProtection="1">
      <alignment horizontal="center"/>
      <protection hidden="1"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2" fontId="10" fillId="2" borderId="0" xfId="0" applyNumberFormat="1" applyFont="1" applyFill="1" applyBorder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2" fontId="10" fillId="2" borderId="0" xfId="0" applyNumberFormat="1" applyFont="1" applyFill="1" applyAlignment="1" applyProtection="1">
      <alignment horizontal="center" vertical="center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/>
      <protection hidden="1"/>
    </xf>
    <xf numFmtId="2" fontId="10" fillId="2" borderId="0" xfId="0" applyNumberFormat="1" applyFont="1" applyFill="1" applyAlignment="1" applyProtection="1">
      <alignment horizontal="center"/>
      <protection hidden="1"/>
    </xf>
    <xf numFmtId="1" fontId="10" fillId="2" borderId="0" xfId="0" applyNumberFormat="1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2" fontId="1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>
      <alignment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/>
    </xf>
    <xf numFmtId="0" fontId="16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 applyProtection="1">
      <alignment horizontal="center"/>
      <protection/>
    </xf>
    <xf numFmtId="9" fontId="0" fillId="2" borderId="0" xfId="0" applyNumberFormat="1" applyFont="1" applyFill="1" applyAlignment="1" applyProtection="1">
      <alignment/>
      <protection hidden="1"/>
    </xf>
    <xf numFmtId="0" fontId="13" fillId="4" borderId="1" xfId="0" applyNumberFormat="1" applyFont="1" applyFill="1" applyBorder="1" applyAlignment="1" applyProtection="1">
      <alignment horizontal="center" vertical="center"/>
      <protection hidden="1"/>
    </xf>
    <xf numFmtId="9" fontId="0" fillId="4" borderId="1" xfId="0" applyNumberFormat="1" applyFont="1" applyFill="1" applyBorder="1" applyAlignment="1" applyProtection="1">
      <alignment horizontal="center" vertical="center"/>
      <protection hidden="1"/>
    </xf>
    <xf numFmtId="164" fontId="0" fillId="4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14" fillId="3" borderId="0" xfId="0" applyNumberFormat="1" applyFont="1" applyFill="1" applyBorder="1" applyAlignment="1">
      <alignment/>
    </xf>
    <xf numFmtId="0" fontId="29" fillId="2" borderId="0" xfId="0" applyFont="1" applyFill="1" applyBorder="1" applyAlignment="1" applyProtection="1">
      <alignment horizontal="right" vertical="center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28" fillId="2" borderId="0" xfId="0" applyFont="1" applyFill="1" applyBorder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horizontal="center"/>
      <protection hidden="1" locked="0"/>
    </xf>
    <xf numFmtId="0" fontId="28" fillId="2" borderId="0" xfId="0" applyFont="1" applyFill="1" applyBorder="1" applyAlignment="1" applyProtection="1">
      <alignment/>
      <protection hidden="1"/>
    </xf>
    <xf numFmtId="0" fontId="31" fillId="3" borderId="0" xfId="0" applyFont="1" applyFill="1" applyBorder="1" applyAlignment="1">
      <alignment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Alignment="1" applyProtection="1">
      <alignment horizontal="center" vertical="top"/>
      <protection/>
    </xf>
    <xf numFmtId="0" fontId="16" fillId="3" borderId="0" xfId="0" applyFont="1" applyFill="1" applyAlignment="1" applyProtection="1">
      <alignment vertical="top"/>
      <protection/>
    </xf>
    <xf numFmtId="0" fontId="14" fillId="3" borderId="0" xfId="0" applyFont="1" applyFill="1" applyBorder="1" applyAlignment="1">
      <alignment/>
    </xf>
    <xf numFmtId="0" fontId="15" fillId="3" borderId="0" xfId="0" applyFont="1" applyFill="1" applyAlignment="1">
      <alignment/>
    </xf>
    <xf numFmtId="0" fontId="16" fillId="3" borderId="0" xfId="0" applyNumberFormat="1" applyFont="1" applyFill="1" applyAlignment="1" applyProtection="1">
      <alignment vertical="top"/>
      <protection/>
    </xf>
    <xf numFmtId="0" fontId="3" fillId="3" borderId="0" xfId="20" applyFill="1" applyBorder="1" applyAlignment="1">
      <alignment/>
    </xf>
    <xf numFmtId="0" fontId="15" fillId="3" borderId="0" xfId="0" applyFont="1" applyFill="1" applyBorder="1" applyAlignment="1">
      <alignment/>
    </xf>
    <xf numFmtId="0" fontId="15" fillId="3" borderId="0" xfId="0" applyFont="1" applyFill="1" applyAlignment="1" applyProtection="1">
      <alignment vertical="top"/>
      <protection/>
    </xf>
    <xf numFmtId="0" fontId="32" fillId="2" borderId="0" xfId="0" applyFont="1" applyFill="1" applyBorder="1" applyAlignment="1" applyProtection="1">
      <alignment horizontal="right" vertical="center"/>
      <protection hidden="1" locked="0"/>
    </xf>
    <xf numFmtId="0" fontId="30" fillId="2" borderId="0" xfId="0" applyNumberFormat="1" applyFont="1" applyFill="1" applyAlignment="1" applyProtection="1">
      <alignment vertical="top"/>
      <protection/>
    </xf>
    <xf numFmtId="0" fontId="30" fillId="2" borderId="0" xfId="0" applyFont="1" applyFill="1" applyAlignment="1" applyProtection="1">
      <alignment vertical="top"/>
      <protection/>
    </xf>
    <xf numFmtId="1" fontId="20" fillId="6" borderId="1" xfId="0" applyNumberFormat="1" applyFont="1" applyFill="1" applyBorder="1" applyAlignment="1" applyProtection="1">
      <alignment horizontal="center" vertical="center"/>
      <protection hidden="1"/>
    </xf>
    <xf numFmtId="164" fontId="18" fillId="2" borderId="0" xfId="0" applyNumberFormat="1" applyFont="1" applyFill="1" applyAlignment="1" applyProtection="1">
      <alignment horizontal="center"/>
      <protection hidden="1"/>
    </xf>
    <xf numFmtId="164" fontId="10" fillId="2" borderId="0" xfId="0" applyNumberFormat="1" applyFont="1" applyFill="1" applyAlignment="1" applyProtection="1" quotePrefix="1">
      <alignment horizontal="center" vertical="center"/>
      <protection/>
    </xf>
    <xf numFmtId="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9" fontId="10" fillId="2" borderId="0" xfId="0" applyNumberFormat="1" applyFont="1" applyFill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Alignment="1" applyProtection="1" quotePrefix="1">
      <alignment horizontal="center" vertical="center"/>
      <protection/>
    </xf>
    <xf numFmtId="0" fontId="11" fillId="5" borderId="2" xfId="0" applyFont="1" applyFill="1" applyBorder="1" applyAlignment="1" applyProtection="1">
      <alignment wrapText="1"/>
      <protection hidden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/>
      <protection locked="0"/>
    </xf>
    <xf numFmtId="1" fontId="20" fillId="6" borderId="6" xfId="0" applyNumberFormat="1" applyFont="1" applyFill="1" applyBorder="1" applyAlignment="1" applyProtection="1">
      <alignment horizontal="center" vertical="center"/>
      <protection hidden="1"/>
    </xf>
    <xf numFmtId="0" fontId="13" fillId="4" borderId="6" xfId="0" applyNumberFormat="1" applyFont="1" applyFill="1" applyBorder="1" applyAlignment="1" applyProtection="1">
      <alignment horizontal="center" vertical="center"/>
      <protection hidden="1"/>
    </xf>
    <xf numFmtId="164" fontId="0" fillId="3" borderId="6" xfId="0" applyNumberFormat="1" applyFont="1" applyFill="1" applyBorder="1" applyAlignment="1" applyProtection="1">
      <alignment horizontal="center" vertical="center"/>
      <protection locked="0"/>
    </xf>
    <xf numFmtId="9" fontId="0" fillId="4" borderId="6" xfId="0" applyNumberFormat="1" applyFont="1" applyFill="1" applyBorder="1" applyAlignment="1" applyProtection="1">
      <alignment horizontal="center" vertical="center"/>
      <protection hidden="1"/>
    </xf>
    <xf numFmtId="164" fontId="0" fillId="4" borderId="6" xfId="0" applyNumberFormat="1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/>
    </xf>
    <xf numFmtId="0" fontId="1" fillId="4" borderId="9" xfId="0" applyFont="1" applyFill="1" applyBorder="1" applyAlignment="1" applyProtection="1">
      <alignment horizontal="center" vertical="center" wrapText="1"/>
      <protection/>
    </xf>
    <xf numFmtId="0" fontId="24" fillId="4" borderId="9" xfId="0" applyFont="1" applyFill="1" applyBorder="1" applyAlignment="1" applyProtection="1">
      <alignment horizontal="center" vertical="center" wrapText="1"/>
      <protection/>
    </xf>
    <xf numFmtId="164" fontId="24" fillId="4" borderId="9" xfId="0" applyNumberFormat="1" applyFont="1" applyFill="1" applyBorder="1" applyAlignment="1" applyProtection="1">
      <alignment horizontal="center" vertical="center" wrapText="1"/>
      <protection/>
    </xf>
    <xf numFmtId="0" fontId="24" fillId="4" borderId="10" xfId="0" applyFont="1" applyFill="1" applyBorder="1" applyAlignment="1" applyProtection="1">
      <alignment horizontal="center" vertical="center" wrapText="1"/>
      <protection/>
    </xf>
    <xf numFmtId="1" fontId="33" fillId="6" borderId="1" xfId="0" applyNumberFormat="1" applyFont="1" applyFill="1" applyBorder="1" applyAlignment="1" applyProtection="1">
      <alignment horizontal="center" vertical="center"/>
      <protection hidden="1" locked="0"/>
    </xf>
    <xf numFmtId="1" fontId="33" fillId="6" borderId="6" xfId="0" applyNumberFormat="1" applyFont="1" applyFill="1" applyBorder="1" applyAlignment="1" applyProtection="1">
      <alignment horizontal="center" vertical="center"/>
      <protection hidden="1" locked="0"/>
    </xf>
    <xf numFmtId="0" fontId="28" fillId="2" borderId="11" xfId="0" applyFont="1" applyFill="1" applyBorder="1" applyAlignment="1" applyProtection="1">
      <alignment horizontal="left" vertical="center"/>
      <protection locked="0"/>
    </xf>
    <xf numFmtId="0" fontId="28" fillId="2" borderId="12" xfId="0" applyFont="1" applyFill="1" applyBorder="1" applyAlignment="1" applyProtection="1">
      <alignment horizontal="left" vertical="center"/>
      <protection locked="0"/>
    </xf>
    <xf numFmtId="0" fontId="28" fillId="2" borderId="11" xfId="0" applyFont="1" applyFill="1" applyBorder="1" applyAlignment="1" applyProtection="1">
      <alignment horizontal="left"/>
      <protection locked="0"/>
    </xf>
    <xf numFmtId="14" fontId="28" fillId="2" borderId="12" xfId="0" applyNumberFormat="1" applyFont="1" applyFill="1" applyBorder="1" applyAlignment="1" applyProtection="1">
      <alignment horizontal="left"/>
      <protection locked="0"/>
    </xf>
    <xf numFmtId="0" fontId="18" fillId="2" borderId="0" xfId="0" applyFont="1" applyFill="1" applyAlignment="1" applyProtection="1">
      <alignment horizontal="center"/>
      <protection hidden="1"/>
    </xf>
    <xf numFmtId="0" fontId="9" fillId="5" borderId="2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9" fillId="5" borderId="13" xfId="0" applyFont="1" applyFill="1" applyBorder="1" applyAlignment="1" applyProtection="1">
      <alignment horizontal="center" vertical="center"/>
      <protection hidden="1"/>
    </xf>
    <xf numFmtId="0" fontId="9" fillId="5" borderId="14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5" borderId="15" xfId="0" applyFont="1" applyFill="1" applyBorder="1" applyAlignment="1" applyProtection="1">
      <alignment horizontal="center" vertical="center"/>
      <protection hidden="1"/>
    </xf>
    <xf numFmtId="0" fontId="9" fillId="5" borderId="16" xfId="0" applyFont="1" applyFill="1" applyBorder="1" applyAlignment="1" applyProtection="1">
      <alignment horizontal="center" vertical="center"/>
      <protection hidden="1"/>
    </xf>
    <xf numFmtId="164" fontId="9" fillId="5" borderId="2" xfId="0" applyNumberFormat="1" applyFont="1" applyFill="1" applyBorder="1" applyAlignment="1" applyProtection="1">
      <alignment horizontal="center" vertical="center"/>
      <protection hidden="1"/>
    </xf>
    <xf numFmtId="164" fontId="9" fillId="5" borderId="0" xfId="0" applyNumberFormat="1" applyFont="1" applyFill="1" applyBorder="1" applyAlignment="1" applyProtection="1">
      <alignment horizontal="center" vertical="center"/>
      <protection hidden="1"/>
    </xf>
    <xf numFmtId="0" fontId="11" fillId="5" borderId="2" xfId="0" applyFont="1" applyFill="1" applyBorder="1" applyAlignment="1" applyProtection="1">
      <alignment horizontal="center" wrapText="1"/>
      <protection hidden="1"/>
    </xf>
    <xf numFmtId="9" fontId="27" fillId="5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tiles@mmo.sc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60"/>
  <sheetViews>
    <sheetView workbookViewId="0" topLeftCell="A1">
      <selection activeCell="A1" sqref="A1"/>
    </sheetView>
  </sheetViews>
  <sheetFormatPr defaultColWidth="9.140625" defaultRowHeight="12.75"/>
  <cols>
    <col min="1" max="1" width="5.140625" style="30" customWidth="1"/>
    <col min="2" max="2" width="6.28125" style="30" customWidth="1"/>
    <col min="3" max="3" width="9.140625" style="30" customWidth="1"/>
    <col min="4" max="4" width="6.140625" style="30" customWidth="1"/>
    <col min="5" max="5" width="11.00390625" style="30" customWidth="1"/>
    <col min="6" max="6" width="7.28125" style="30" customWidth="1"/>
    <col min="7" max="7" width="9.140625" style="30" customWidth="1"/>
    <col min="8" max="8" width="7.00390625" style="30" customWidth="1"/>
    <col min="9" max="16384" width="9.140625" style="30" customWidth="1"/>
  </cols>
  <sheetData>
    <row r="1" spans="1:12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62"/>
      <c r="B2" s="66"/>
      <c r="C2" s="66"/>
      <c r="D2" s="66"/>
      <c r="E2" s="66"/>
      <c r="F2" s="66"/>
      <c r="G2" s="66"/>
      <c r="H2" s="66"/>
      <c r="I2" s="59" t="s">
        <v>38</v>
      </c>
      <c r="J2" s="66"/>
      <c r="K2" s="66"/>
      <c r="L2" s="66"/>
    </row>
    <row r="3" spans="1:12" ht="15.75">
      <c r="A3" s="62"/>
      <c r="B3" s="67"/>
      <c r="C3" s="67"/>
      <c r="D3" s="67"/>
      <c r="E3" s="67"/>
      <c r="F3" s="67"/>
      <c r="G3" s="67"/>
      <c r="H3" s="67"/>
      <c r="I3" s="60" t="s">
        <v>3</v>
      </c>
      <c r="J3" s="67"/>
      <c r="K3" s="67"/>
      <c r="L3" s="67"/>
    </row>
    <row r="4" spans="1:12" ht="15.75">
      <c r="A4" s="62"/>
      <c r="B4" s="66"/>
      <c r="C4" s="66"/>
      <c r="D4" s="66"/>
      <c r="E4" s="66"/>
      <c r="F4" s="66"/>
      <c r="G4" s="66"/>
      <c r="H4" s="66"/>
      <c r="I4" s="59" t="s">
        <v>37</v>
      </c>
      <c r="J4" s="66"/>
      <c r="K4" s="66"/>
      <c r="L4" s="66"/>
    </row>
    <row r="6" spans="3:14" ht="15.75" customHeight="1">
      <c r="C6" s="61" t="s">
        <v>62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15.75">
      <c r="A7" s="61"/>
      <c r="C7" s="64" t="s">
        <v>63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14" ht="15.75">
      <c r="A8" s="61"/>
      <c r="C8" s="64" t="s">
        <v>64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</row>
    <row r="9" spans="1:14" ht="15.75">
      <c r="A9" s="61"/>
      <c r="C9" s="61" t="s">
        <v>65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4" ht="15.75">
      <c r="A10" s="61"/>
      <c r="C10" s="61" t="s">
        <v>66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ht="13.5" customHeight="1">
      <c r="A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ht="15.75">
      <c r="A12" s="31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2"/>
    </row>
    <row r="13" ht="15.75">
      <c r="C13" s="33" t="s">
        <v>67</v>
      </c>
    </row>
    <row r="14" ht="15.75">
      <c r="C14" s="33" t="s">
        <v>68</v>
      </c>
    </row>
    <row r="15" spans="3:12" ht="15.75">
      <c r="C15" s="33" t="s">
        <v>69</v>
      </c>
      <c r="J15" s="65" t="s">
        <v>51</v>
      </c>
      <c r="K15" s="65"/>
      <c r="L15" s="33" t="s">
        <v>70</v>
      </c>
    </row>
    <row r="16" ht="15.75">
      <c r="C16" s="33" t="s">
        <v>71</v>
      </c>
    </row>
    <row r="17" spans="1:3" ht="15.75">
      <c r="A17" s="33"/>
      <c r="C17" s="33" t="s">
        <v>72</v>
      </c>
    </row>
    <row r="18" spans="1:2" ht="15.75">
      <c r="A18" s="33"/>
      <c r="B18" s="33"/>
    </row>
    <row r="20" spans="1:2" ht="15.75">
      <c r="A20" s="35" t="s">
        <v>28</v>
      </c>
      <c r="B20" s="34" t="s">
        <v>36</v>
      </c>
    </row>
    <row r="21" spans="1:2" ht="15.75">
      <c r="A21" s="35"/>
      <c r="B21" s="32" t="s">
        <v>52</v>
      </c>
    </row>
    <row r="22" spans="1:2" ht="20.25" customHeight="1">
      <c r="A22" s="35"/>
      <c r="B22" s="36" t="s">
        <v>29</v>
      </c>
    </row>
    <row r="23" spans="1:2" ht="15.75">
      <c r="A23" s="35"/>
      <c r="B23" s="36" t="s">
        <v>35</v>
      </c>
    </row>
    <row r="24" spans="1:2" ht="15.75">
      <c r="A24" s="35"/>
      <c r="B24" s="36" t="s">
        <v>30</v>
      </c>
    </row>
    <row r="25" ht="15.75">
      <c r="A25" s="35"/>
    </row>
    <row r="26" ht="15.75">
      <c r="A26" s="35"/>
    </row>
    <row r="27" spans="1:2" ht="15.75">
      <c r="A27" s="35" t="s">
        <v>31</v>
      </c>
      <c r="B27" s="30" t="s">
        <v>42</v>
      </c>
    </row>
    <row r="28" ht="15.75">
      <c r="A28" s="35"/>
    </row>
    <row r="29" spans="1:2" ht="15.75">
      <c r="A29" s="35" t="s">
        <v>32</v>
      </c>
      <c r="B29" s="30" t="s">
        <v>79</v>
      </c>
    </row>
    <row r="30" ht="15.75">
      <c r="A30" s="35"/>
    </row>
    <row r="31" spans="1:2" ht="15.75">
      <c r="A31" s="37" t="s">
        <v>33</v>
      </c>
      <c r="B31" s="51" t="s">
        <v>81</v>
      </c>
    </row>
    <row r="32" spans="1:2" ht="15.75">
      <c r="A32" s="37"/>
      <c r="B32" s="30" t="s">
        <v>80</v>
      </c>
    </row>
    <row r="33" ht="15.75">
      <c r="A33" s="37"/>
    </row>
    <row r="34" spans="1:2" ht="15.75">
      <c r="A34" s="37" t="s">
        <v>34</v>
      </c>
      <c r="B34" s="58" t="s">
        <v>55</v>
      </c>
    </row>
    <row r="35" spans="1:2" ht="15.75">
      <c r="A35" s="37"/>
      <c r="B35" s="30" t="s">
        <v>95</v>
      </c>
    </row>
    <row r="36" spans="1:2" ht="15.75">
      <c r="A36" s="37"/>
      <c r="B36" s="30" t="s">
        <v>94</v>
      </c>
    </row>
    <row r="37" ht="7.5" customHeight="1">
      <c r="A37" s="37"/>
    </row>
    <row r="38" spans="1:2" ht="15.75">
      <c r="A38" s="37"/>
      <c r="B38" s="30" t="s">
        <v>53</v>
      </c>
    </row>
    <row r="39" spans="1:2" ht="15.75">
      <c r="A39" s="37"/>
      <c r="B39" s="30" t="s">
        <v>74</v>
      </c>
    </row>
    <row r="40" spans="1:2" ht="15.75">
      <c r="A40" s="37"/>
      <c r="B40" s="30" t="s">
        <v>75</v>
      </c>
    </row>
    <row r="41" spans="1:2" ht="15.75">
      <c r="A41" s="37"/>
      <c r="B41" s="30" t="s">
        <v>84</v>
      </c>
    </row>
    <row r="42" spans="1:2" ht="15.75">
      <c r="A42" s="37"/>
      <c r="B42" s="30" t="s">
        <v>57</v>
      </c>
    </row>
    <row r="43" spans="1:3" ht="15.75">
      <c r="A43" s="37"/>
      <c r="C43" s="30" t="s">
        <v>76</v>
      </c>
    </row>
    <row r="44" spans="1:3" ht="15.75">
      <c r="A44" s="37"/>
      <c r="C44" s="30" t="s">
        <v>77</v>
      </c>
    </row>
    <row r="45" spans="1:3" ht="15.75">
      <c r="A45" s="37"/>
      <c r="C45" s="30" t="s">
        <v>82</v>
      </c>
    </row>
    <row r="46" spans="1:3" ht="15.75">
      <c r="A46" s="37"/>
      <c r="C46" s="30" t="s">
        <v>83</v>
      </c>
    </row>
    <row r="47" spans="1:2" ht="15.75">
      <c r="A47" s="37"/>
      <c r="B47" s="30" t="s">
        <v>92</v>
      </c>
    </row>
    <row r="48" spans="1:2" ht="15.75">
      <c r="A48" s="37"/>
      <c r="B48" s="30" t="s">
        <v>93</v>
      </c>
    </row>
    <row r="49" ht="15.75">
      <c r="A49" s="37"/>
    </row>
    <row r="50" spans="1:2" ht="15.75">
      <c r="A50" s="37" t="s">
        <v>54</v>
      </c>
      <c r="B50" s="30" t="s">
        <v>60</v>
      </c>
    </row>
    <row r="51" ht="15.75">
      <c r="A51" s="37"/>
    </row>
    <row r="52" spans="1:2" ht="15.75">
      <c r="A52" s="37" t="s">
        <v>59</v>
      </c>
      <c r="B52" s="30" t="s">
        <v>78</v>
      </c>
    </row>
    <row r="54" spans="1:2" ht="15.75">
      <c r="A54" s="37" t="s">
        <v>58</v>
      </c>
      <c r="B54" s="30" t="s">
        <v>91</v>
      </c>
    </row>
    <row r="55" spans="1:2" ht="15.75">
      <c r="A55" s="37"/>
      <c r="B55" s="30" t="s">
        <v>90</v>
      </c>
    </row>
    <row r="56" ht="15.75">
      <c r="A56" s="37"/>
    </row>
    <row r="57" spans="1:2" ht="15.75">
      <c r="A57" s="37" t="s">
        <v>61</v>
      </c>
      <c r="B57" s="36" t="s">
        <v>85</v>
      </c>
    </row>
    <row r="58" spans="1:2" ht="15.75">
      <c r="A58" s="37"/>
      <c r="B58" s="30" t="s">
        <v>86</v>
      </c>
    </row>
    <row r="59" ht="15.75">
      <c r="A59" s="37"/>
    </row>
    <row r="60" ht="15.75">
      <c r="B60" s="36"/>
    </row>
  </sheetData>
  <hyperlinks>
    <hyperlink ref="J15" r:id="rId1" display="mstiles@mmo.sc.gov"/>
  </hyperlinks>
  <printOptions/>
  <pageMargins left="0.25" right="0.25" top="0.75" bottom="0.7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2"/>
  </sheetPr>
  <dimension ref="A1:AA34"/>
  <sheetViews>
    <sheetView tabSelected="1" workbookViewId="0" topLeftCell="A1">
      <selection activeCell="B2" sqref="B2:C2"/>
    </sheetView>
  </sheetViews>
  <sheetFormatPr defaultColWidth="9.140625" defaultRowHeight="21.75" customHeight="1"/>
  <cols>
    <col min="1" max="1" width="39.7109375" style="21" customWidth="1"/>
    <col min="2" max="2" width="19.28125" style="26" customWidth="1"/>
    <col min="3" max="3" width="9.00390625" style="26" customWidth="1"/>
    <col min="4" max="4" width="9.00390625" style="29" customWidth="1"/>
    <col min="5" max="5" width="5.28125" style="29" customWidth="1"/>
    <col min="6" max="6" width="7.00390625" style="26" bestFit="1" customWidth="1"/>
    <col min="7" max="7" width="11.140625" style="21" bestFit="1" customWidth="1"/>
    <col min="8" max="8" width="13.140625" style="21" bestFit="1" customWidth="1"/>
    <col min="9" max="9" width="12.140625" style="21" bestFit="1" customWidth="1"/>
    <col min="10" max="10" width="12.421875" style="21" customWidth="1"/>
    <col min="11" max="11" width="3.8515625" style="44" hidden="1" customWidth="1"/>
    <col min="12" max="12" width="6.421875" style="15" hidden="1" customWidth="1"/>
    <col min="13" max="13" width="3.140625" style="15" hidden="1" customWidth="1"/>
    <col min="14" max="14" width="3.00390625" style="15" hidden="1" customWidth="1"/>
    <col min="15" max="15" width="2.00390625" style="15" hidden="1" customWidth="1"/>
    <col min="16" max="16" width="5.00390625" style="22" hidden="1" customWidth="1"/>
    <col min="17" max="19" width="3.28125" style="15" hidden="1" customWidth="1"/>
    <col min="20" max="21" width="3.8515625" style="15" hidden="1" customWidth="1"/>
    <col min="22" max="22" width="3.7109375" style="15" hidden="1" customWidth="1"/>
    <col min="23" max="23" width="4.140625" style="15" hidden="1" customWidth="1"/>
    <col min="24" max="24" width="4.00390625" style="15" hidden="1" customWidth="1"/>
    <col min="25" max="26" width="3.57421875" style="15" hidden="1" customWidth="1"/>
    <col min="27" max="27" width="14.28125" style="15" hidden="1" customWidth="1"/>
    <col min="28" max="16384" width="19.421875" style="21" customWidth="1"/>
  </cols>
  <sheetData>
    <row r="1" spans="1:27" s="13" customFormat="1" ht="22.5" customHeight="1">
      <c r="A1" s="52" t="s">
        <v>27</v>
      </c>
      <c r="B1" s="68">
        <v>1</v>
      </c>
      <c r="C1" s="56"/>
      <c r="D1" s="53"/>
      <c r="E1" s="53"/>
      <c r="F1" s="54"/>
      <c r="G1" s="26"/>
      <c r="H1" s="26"/>
      <c r="I1" s="26"/>
      <c r="J1" s="26"/>
      <c r="K1" s="43"/>
      <c r="L1" s="25"/>
      <c r="M1" s="25"/>
      <c r="N1" s="25"/>
      <c r="O1" s="25"/>
      <c r="P1" s="38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13" customFormat="1" ht="22.5" customHeight="1">
      <c r="A2" s="52" t="s">
        <v>44</v>
      </c>
      <c r="B2" s="97"/>
      <c r="C2" s="97"/>
      <c r="D2" s="55"/>
      <c r="E2" s="52" t="s">
        <v>45</v>
      </c>
      <c r="F2" s="99"/>
      <c r="G2" s="99"/>
      <c r="H2" s="99"/>
      <c r="I2" s="26"/>
      <c r="J2" s="26"/>
      <c r="K2" s="43"/>
      <c r="L2" s="25"/>
      <c r="M2" s="25"/>
      <c r="N2" s="25"/>
      <c r="O2" s="25"/>
      <c r="P2" s="38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s="3" customFormat="1" ht="22.5" customHeight="1">
      <c r="A3" s="52" t="s">
        <v>56</v>
      </c>
      <c r="B3" s="98"/>
      <c r="C3" s="98"/>
      <c r="D3" s="55"/>
      <c r="E3" s="52" t="s">
        <v>46</v>
      </c>
      <c r="F3" s="100"/>
      <c r="G3" s="100"/>
      <c r="H3" s="57"/>
      <c r="I3" s="2"/>
      <c r="J3" s="1"/>
      <c r="K3" s="1"/>
      <c r="L3" s="14"/>
      <c r="M3" s="15"/>
      <c r="N3" s="14"/>
      <c r="O3" s="14"/>
      <c r="P3" s="16"/>
      <c r="Q3" s="17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3" customFormat="1" ht="15.75" thickBot="1">
      <c r="A4" s="69"/>
      <c r="B4" s="45"/>
      <c r="C4" s="2"/>
      <c r="D4" s="1"/>
      <c r="E4" s="1"/>
      <c r="F4" s="2"/>
      <c r="G4" s="4"/>
      <c r="H4" s="4"/>
      <c r="I4" s="2"/>
      <c r="J4" s="1"/>
      <c r="K4" s="1"/>
      <c r="L4" s="14"/>
      <c r="M4" s="15"/>
      <c r="N4" s="14"/>
      <c r="O4" s="14"/>
      <c r="P4" s="16"/>
      <c r="Q4" s="17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5" customFormat="1" ht="12.75" customHeight="1">
      <c r="A5" s="107" t="s">
        <v>43</v>
      </c>
      <c r="B5" s="102" t="s">
        <v>0</v>
      </c>
      <c r="C5" s="111" t="s">
        <v>4</v>
      </c>
      <c r="D5" s="111"/>
      <c r="E5" s="111"/>
      <c r="F5" s="79"/>
      <c r="G5" s="109" t="s">
        <v>1</v>
      </c>
      <c r="H5" s="109" t="s">
        <v>2</v>
      </c>
      <c r="I5" s="102" t="s">
        <v>73</v>
      </c>
      <c r="J5" s="104" t="s">
        <v>18</v>
      </c>
      <c r="L5" s="106"/>
      <c r="M5" s="18"/>
      <c r="N5" s="18"/>
      <c r="O5" s="18"/>
      <c r="P5" s="19"/>
      <c r="Q5" s="20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6" customFormat="1" ht="13.5" thickBot="1">
      <c r="A6" s="108"/>
      <c r="B6" s="103"/>
      <c r="C6" s="112" t="s">
        <v>40</v>
      </c>
      <c r="D6" s="112"/>
      <c r="E6" s="112"/>
      <c r="F6" s="46"/>
      <c r="G6" s="110"/>
      <c r="H6" s="110"/>
      <c r="I6" s="103"/>
      <c r="J6" s="105"/>
      <c r="K6" s="5"/>
      <c r="L6" s="106"/>
      <c r="M6" s="18"/>
      <c r="N6" s="18"/>
      <c r="O6" s="18"/>
      <c r="P6" s="19"/>
      <c r="Q6" s="20"/>
      <c r="R6" s="18"/>
      <c r="S6" s="18"/>
      <c r="T6" s="18"/>
      <c r="U6" s="18"/>
      <c r="V6" s="18"/>
      <c r="W6" s="18"/>
      <c r="X6" s="18"/>
      <c r="Y6" s="18"/>
      <c r="Z6" s="18"/>
      <c r="AA6" s="15"/>
    </row>
    <row r="7" spans="1:27" s="7" customFormat="1" ht="29.25">
      <c r="A7" s="90" t="s">
        <v>47</v>
      </c>
      <c r="B7" s="91" t="s">
        <v>48</v>
      </c>
      <c r="C7" s="92" t="s">
        <v>49</v>
      </c>
      <c r="D7" s="92" t="s">
        <v>50</v>
      </c>
      <c r="E7" s="92" t="s">
        <v>26</v>
      </c>
      <c r="F7" s="92" t="s">
        <v>41</v>
      </c>
      <c r="G7" s="93" t="s">
        <v>96</v>
      </c>
      <c r="H7" s="93" t="s">
        <v>17</v>
      </c>
      <c r="I7" s="92" t="s">
        <v>97</v>
      </c>
      <c r="J7" s="94" t="s">
        <v>98</v>
      </c>
      <c r="K7" s="11" t="s">
        <v>39</v>
      </c>
      <c r="L7" s="72" t="s">
        <v>12</v>
      </c>
      <c r="M7" s="11" t="s">
        <v>7</v>
      </c>
      <c r="N7" s="11" t="s">
        <v>6</v>
      </c>
      <c r="O7" s="101" t="s">
        <v>13</v>
      </c>
      <c r="P7" s="101"/>
      <c r="Q7" s="12">
        <v>0.02</v>
      </c>
      <c r="R7" s="12">
        <v>0.04</v>
      </c>
      <c r="S7" s="11" t="s">
        <v>14</v>
      </c>
      <c r="T7" s="11" t="s">
        <v>16</v>
      </c>
      <c r="U7" s="11" t="s">
        <v>15</v>
      </c>
      <c r="V7" s="11" t="s">
        <v>8</v>
      </c>
      <c r="W7" s="11" t="s">
        <v>9</v>
      </c>
      <c r="X7" s="11" t="s">
        <v>25</v>
      </c>
      <c r="Y7" s="11" t="s">
        <v>10</v>
      </c>
      <c r="Z7" s="11" t="s">
        <v>11</v>
      </c>
      <c r="AA7" s="11" t="s">
        <v>5</v>
      </c>
    </row>
    <row r="8" spans="1:27" ht="20.25" customHeight="1">
      <c r="A8" s="80"/>
      <c r="B8" s="47">
        <v>1</v>
      </c>
      <c r="C8" s="71">
        <v>1</v>
      </c>
      <c r="D8" s="71">
        <v>1</v>
      </c>
      <c r="E8" s="95">
        <v>0</v>
      </c>
      <c r="F8" s="40">
        <f>IF(U8=1,"Error &gt;",IF(T8=1,"&lt; Error",""))</f>
      </c>
      <c r="G8" s="48"/>
      <c r="H8" s="41">
        <f>IF(OR(ISBLANK(G8),ISTEXT(G8),G8&lt;0),"",IF(OR(ISBLANK(F8),F8=""),Z8,IF(P59&lt;0,CONCATENATE("* ",100*Y8,"%"),"")))</f>
      </c>
      <c r="I8" s="42">
        <f>IF(OR(ISTEXT(G8),G8&lt;0),"",IF(H8="","",G8*(1-Z8)))</f>
      </c>
      <c r="J8" s="81">
        <f>IF(OR(U24&gt;0,T24&gt;0,ISBLANK(G8)),"",IF(AND(I8=L8,K24=1),"LOW BID",IF(I8=L8,"TIE BID","")))</f>
      </c>
      <c r="K8" s="5">
        <f aca="true" t="shared" si="0" ref="K8:K22">IF(I8=L8,1,0)</f>
        <v>0</v>
      </c>
      <c r="L8" s="73">
        <f>IF(U59&gt;0,"",MIN(I8:I22))</f>
        <v>0</v>
      </c>
      <c r="M8" s="18">
        <f>B1</f>
        <v>1</v>
      </c>
      <c r="N8" s="18">
        <f>B8</f>
        <v>1</v>
      </c>
      <c r="O8" s="18">
        <f>IF(AND(B1=1,OR(N8=4,N8=6)),1,0)</f>
        <v>0</v>
      </c>
      <c r="P8" s="19">
        <f>IF(AND(B1=1,O24&gt;0,OR(N8=3,N8=5)),-0.02,0)</f>
        <v>0</v>
      </c>
      <c r="Q8" s="74">
        <f aca="true" t="shared" si="1" ref="Q8:Q22">(C8-1)*20</f>
        <v>0</v>
      </c>
      <c r="R8" s="74">
        <f aca="true" t="shared" si="2" ref="R8:R22">(D8-1)*40</f>
        <v>0</v>
      </c>
      <c r="S8" s="74">
        <f aca="true" t="shared" si="3" ref="S8:S22">Q8+R8</f>
        <v>0</v>
      </c>
      <c r="T8" s="18">
        <f>IF(S8&gt;80,1,0)</f>
        <v>0</v>
      </c>
      <c r="U8" s="75">
        <f>IF(OR(ISTEXT(G8),G8&lt;0),1,0)</f>
        <v>0</v>
      </c>
      <c r="V8" s="76">
        <f>IF(M8=2,0,IF(OR(N8=3,N8=5),0.02,IF(OR(N8=4,N8=6),0.07,0)))</f>
        <v>0</v>
      </c>
      <c r="W8" s="76">
        <f>IF(M8=2,IF(OR(N8=3,N8=5),0.07,0),IF(OR(N8=2,N8=5,N8=6),0.07,0))</f>
        <v>0</v>
      </c>
      <c r="X8" s="76">
        <f aca="true" t="shared" si="4" ref="X8:X22">IF(AND(OR(E8=FALSE,E8=0),S8/1000&gt;0.06),0.06,IF(AND(OR(E8=TRUE,E8&gt;0),S8/1000&gt;0.06),0.08,S8/1000))</f>
        <v>0</v>
      </c>
      <c r="Y8" s="76">
        <f>SUM(V8:X8)</f>
        <v>0</v>
      </c>
      <c r="Z8" s="76">
        <f>IF(Y8&gt;0.1,0.1,Y8)</f>
        <v>0</v>
      </c>
      <c r="AA8" s="77" t="str">
        <f>IF(B1&lt;=1,"  No Preferences","  ~~~~~~~~~~")</f>
        <v>  No Preferences</v>
      </c>
    </row>
    <row r="9" spans="1:27" ht="20.25" customHeight="1">
      <c r="A9" s="80"/>
      <c r="B9" s="47">
        <v>1</v>
      </c>
      <c r="C9" s="71">
        <v>1</v>
      </c>
      <c r="D9" s="71">
        <v>1</v>
      </c>
      <c r="E9" s="95">
        <v>0</v>
      </c>
      <c r="F9" s="40">
        <f aca="true" t="shared" si="5" ref="F9:F22">IF(U9=1,"Error &gt;",IF(T9=1,"&lt; Error",""))</f>
      </c>
      <c r="G9" s="48"/>
      <c r="H9" s="41">
        <f>IF(OR(ISBLANK(G9),ISTEXT(G9),G9&lt;0),"",IF(OR(ISBLANK(F9),F9=""),Z9,IF(P59&lt;0,CONCATENATE("* ",100*Y9,"%"),"")))</f>
      </c>
      <c r="I9" s="42">
        <f aca="true" t="shared" si="6" ref="I9:I22">IF(OR(ISTEXT(G9),G9&lt;0),"",IF(H9="","",G9*(1-Z9)))</f>
      </c>
      <c r="J9" s="81">
        <f>IF(OR(U24&gt;0,T24&gt;0,ISBLANK(G9)),"",IF(AND(I9=L9,K24=1),"LOW BID",IF(I9=L9,"TIE BID","")))</f>
      </c>
      <c r="K9" s="5">
        <f t="shared" si="0"/>
        <v>0</v>
      </c>
      <c r="L9" s="73">
        <f>IF(U59&gt;0,"",MIN(I8:I22))</f>
        <v>0</v>
      </c>
      <c r="M9" s="18">
        <f>B1</f>
        <v>1</v>
      </c>
      <c r="N9" s="18">
        <f aca="true" t="shared" si="7" ref="N9:N22">B9</f>
        <v>1</v>
      </c>
      <c r="O9" s="18">
        <f>IF(AND(B1=1,OR(N9=4,N9=6)),1,0)</f>
        <v>0</v>
      </c>
      <c r="P9" s="19">
        <f>IF(AND(B1=1,O24&gt;0,OR(N9=3,N9=5)),-0.02,0)</f>
        <v>0</v>
      </c>
      <c r="Q9" s="74">
        <f t="shared" si="1"/>
        <v>0</v>
      </c>
      <c r="R9" s="74">
        <f t="shared" si="2"/>
        <v>0</v>
      </c>
      <c r="S9" s="74">
        <f t="shared" si="3"/>
        <v>0</v>
      </c>
      <c r="T9" s="18">
        <f aca="true" t="shared" si="8" ref="T9:T22">IF(S9&gt;80,1,0)</f>
        <v>0</v>
      </c>
      <c r="U9" s="75">
        <f aca="true" t="shared" si="9" ref="U9:U22">IF(OR(ISTEXT(G9),G9&lt;0),1,0)</f>
        <v>0</v>
      </c>
      <c r="V9" s="76">
        <f aca="true" t="shared" si="10" ref="V9:V22">IF(M9=2,0,IF(OR(N9=3,N9=5),0.02,IF(OR(N9=4,N9=6),0.07,0)))</f>
        <v>0</v>
      </c>
      <c r="W9" s="76">
        <f aca="true" t="shared" si="11" ref="W9:W22">IF(M9=2,IF(OR(N9=3,N9=5),0.07,0),IF(OR(N9=2,N9=5,N9=6),0.07,0))</f>
        <v>0</v>
      </c>
      <c r="X9" s="76">
        <f t="shared" si="4"/>
        <v>0</v>
      </c>
      <c r="Y9" s="76">
        <f aca="true" t="shared" si="12" ref="Y9:Y22">SUM(V9:X9)</f>
        <v>0</v>
      </c>
      <c r="Z9" s="76">
        <f aca="true" t="shared" si="13" ref="Z9:Z22">IF(Y9&gt;0.1,0.1,Y9)</f>
        <v>0</v>
      </c>
      <c r="AA9" s="77" t="str">
        <f>IF(B1&lt;=1,"  RVP","  No Preferences")</f>
        <v>  RVP</v>
      </c>
    </row>
    <row r="10" spans="1:27" ht="20.25" customHeight="1">
      <c r="A10" s="80"/>
      <c r="B10" s="47">
        <v>1</v>
      </c>
      <c r="C10" s="71">
        <v>1</v>
      </c>
      <c r="D10" s="71">
        <v>1</v>
      </c>
      <c r="E10" s="95">
        <v>0</v>
      </c>
      <c r="F10" s="40">
        <f t="shared" si="5"/>
      </c>
      <c r="G10" s="48"/>
      <c r="H10" s="41">
        <f>IF(OR(ISBLANK(G10),ISTEXT(G10),G10&lt;0),"",IF(OR(ISBLANK(F10),F10=""),Z10,IF(P59&lt;0,CONCATENATE("* ",100*Y10,"%"),"")))</f>
      </c>
      <c r="I10" s="42">
        <f t="shared" si="6"/>
      </c>
      <c r="J10" s="81">
        <f>IF(OR(U24&gt;0,T24&gt;0,ISBLANK(G10)),"",IF(AND(I10=L10,K24=1),"LOW BID",IF(I10=L10,"TIE BID","")))</f>
      </c>
      <c r="K10" s="5">
        <f t="shared" si="0"/>
        <v>0</v>
      </c>
      <c r="L10" s="73">
        <f>IF(U59&gt;0,"",MIN(I8:I22))</f>
        <v>0</v>
      </c>
      <c r="M10" s="18">
        <f>B1</f>
        <v>1</v>
      </c>
      <c r="N10" s="18">
        <f t="shared" si="7"/>
        <v>1</v>
      </c>
      <c r="O10" s="18">
        <f>IF(AND(B1=1,OR(N10=4,N10=6)),1,0)</f>
        <v>0</v>
      </c>
      <c r="P10" s="19">
        <f>IF(AND(B1=1,O24&gt;0,OR(N10=3,N10=5)),-0.02,0)</f>
        <v>0</v>
      </c>
      <c r="Q10" s="74">
        <f t="shared" si="1"/>
        <v>0</v>
      </c>
      <c r="R10" s="74">
        <f t="shared" si="2"/>
        <v>0</v>
      </c>
      <c r="S10" s="74">
        <f t="shared" si="3"/>
        <v>0</v>
      </c>
      <c r="T10" s="18">
        <f t="shared" si="8"/>
        <v>0</v>
      </c>
      <c r="U10" s="75">
        <f t="shared" si="9"/>
        <v>0</v>
      </c>
      <c r="V10" s="76">
        <f t="shared" si="10"/>
        <v>0</v>
      </c>
      <c r="W10" s="76">
        <f t="shared" si="11"/>
        <v>0</v>
      </c>
      <c r="X10" s="76">
        <f t="shared" si="4"/>
        <v>0</v>
      </c>
      <c r="Y10" s="76">
        <f t="shared" si="12"/>
        <v>0</v>
      </c>
      <c r="Z10" s="76">
        <f t="shared" si="13"/>
        <v>0</v>
      </c>
      <c r="AA10" s="77" t="str">
        <f>IF(B1&lt;=1,"  USEPP","  RCP")</f>
        <v>  USEPP</v>
      </c>
    </row>
    <row r="11" spans="1:27" ht="20.25" customHeight="1">
      <c r="A11" s="80"/>
      <c r="B11" s="47">
        <v>1</v>
      </c>
      <c r="C11" s="71">
        <v>1</v>
      </c>
      <c r="D11" s="71">
        <v>1</v>
      </c>
      <c r="E11" s="95">
        <v>0</v>
      </c>
      <c r="F11" s="40">
        <f t="shared" si="5"/>
      </c>
      <c r="G11" s="48"/>
      <c r="H11" s="41">
        <f>IF(OR(ISBLANK(G11),ISTEXT(G11),G11&lt;0),"",IF(OR(ISBLANK(F11),F11=""),Z11,IF(P59&lt;0,CONCATENATE("* ",100*Y11,"%"),"")))</f>
      </c>
      <c r="I11" s="42">
        <f t="shared" si="6"/>
      </c>
      <c r="J11" s="81">
        <f>IF(OR(U24&gt;0,T24&gt;0,ISBLANK(G11)),"",IF(AND(I11=L11,K24=1),"LOW BID",IF(I11=L11,"TIE BID","")))</f>
      </c>
      <c r="K11" s="5">
        <f t="shared" si="0"/>
        <v>0</v>
      </c>
      <c r="L11" s="73">
        <f>IF(U59&gt;0,"",MIN(I8:I22))</f>
        <v>0</v>
      </c>
      <c r="M11" s="18">
        <f>B1</f>
        <v>1</v>
      </c>
      <c r="N11" s="18">
        <f t="shared" si="7"/>
        <v>1</v>
      </c>
      <c r="O11" s="18">
        <f>IF(AND(B1=1,OR(N11=4,N11=6)),1,0)</f>
        <v>0</v>
      </c>
      <c r="P11" s="19">
        <f>IF(AND(B1=1,O24&gt;0,OR(N11=3,N11=5)),-0.02,0)</f>
        <v>0</v>
      </c>
      <c r="Q11" s="74">
        <f t="shared" si="1"/>
        <v>0</v>
      </c>
      <c r="R11" s="74">
        <f t="shared" si="2"/>
        <v>0</v>
      </c>
      <c r="S11" s="74">
        <f t="shared" si="3"/>
        <v>0</v>
      </c>
      <c r="T11" s="18">
        <f t="shared" si="8"/>
        <v>0</v>
      </c>
      <c r="U11" s="75">
        <f t="shared" si="9"/>
        <v>0</v>
      </c>
      <c r="V11" s="76">
        <f t="shared" si="10"/>
        <v>0</v>
      </c>
      <c r="W11" s="76">
        <f t="shared" si="11"/>
        <v>0</v>
      </c>
      <c r="X11" s="76">
        <f t="shared" si="4"/>
        <v>0</v>
      </c>
      <c r="Y11" s="76">
        <f t="shared" si="12"/>
        <v>0</v>
      </c>
      <c r="Z11" s="76">
        <f t="shared" si="13"/>
        <v>0</v>
      </c>
      <c r="AA11" s="77" t="str">
        <f>IF(B1&lt;=1,"  SCEPP","  RSCP's")</f>
        <v>  SCEPP</v>
      </c>
    </row>
    <row r="12" spans="1:27" ht="20.25" customHeight="1">
      <c r="A12" s="80"/>
      <c r="B12" s="47">
        <v>1</v>
      </c>
      <c r="C12" s="71">
        <v>1</v>
      </c>
      <c r="D12" s="71">
        <v>1</v>
      </c>
      <c r="E12" s="95">
        <v>0</v>
      </c>
      <c r="F12" s="40">
        <f t="shared" si="5"/>
      </c>
      <c r="G12" s="48"/>
      <c r="H12" s="41">
        <f>IF(OR(ISBLANK(G12),ISTEXT(G12),G12&lt;0),"",IF(OR(ISBLANK(F12),F12=""),Z12,IF(P59&lt;0,CONCATENATE("* ",100*Y12,"%"),"")))</f>
      </c>
      <c r="I12" s="42">
        <f t="shared" si="6"/>
      </c>
      <c r="J12" s="81">
        <f>IF(OR(U24&gt;0,T24&gt;0,ISBLANK(G12)),"",IF(AND(I12=L12,K24=1),"LOW BID",IF(I12=L12,"TIE BID","")))</f>
      </c>
      <c r="K12" s="5">
        <f t="shared" si="0"/>
        <v>0</v>
      </c>
      <c r="L12" s="73">
        <f>IF(U59&gt;0,"",MIN(I8:I22))</f>
        <v>0</v>
      </c>
      <c r="M12" s="18">
        <f>B1</f>
        <v>1</v>
      </c>
      <c r="N12" s="18">
        <f t="shared" si="7"/>
        <v>1</v>
      </c>
      <c r="O12" s="18">
        <f>IF(AND(B1=1,OR(N12=4,N12=6)),1,0)</f>
        <v>0</v>
      </c>
      <c r="P12" s="19">
        <f>IF(AND(B1=1,O24&gt;0,OR(N12=3,N12=5)),-0.02,0)</f>
        <v>0</v>
      </c>
      <c r="Q12" s="74">
        <f t="shared" si="1"/>
        <v>0</v>
      </c>
      <c r="R12" s="74">
        <f t="shared" si="2"/>
        <v>0</v>
      </c>
      <c r="S12" s="74">
        <f t="shared" si="3"/>
        <v>0</v>
      </c>
      <c r="T12" s="18">
        <f t="shared" si="8"/>
        <v>0</v>
      </c>
      <c r="U12" s="75">
        <f t="shared" si="9"/>
        <v>0</v>
      </c>
      <c r="V12" s="76">
        <f t="shared" si="10"/>
        <v>0</v>
      </c>
      <c r="W12" s="76">
        <f t="shared" si="11"/>
        <v>0</v>
      </c>
      <c r="X12" s="76">
        <f t="shared" si="4"/>
        <v>0</v>
      </c>
      <c r="Y12" s="76">
        <f t="shared" si="12"/>
        <v>0</v>
      </c>
      <c r="Z12" s="76">
        <f t="shared" si="13"/>
        <v>0</v>
      </c>
      <c r="AA12" s="77" t="str">
        <f>IF(B1&lt;=1,"  RVP + USEPP","  RCP + RSCP's")</f>
        <v>  RVP + USEPP</v>
      </c>
    </row>
    <row r="13" spans="1:27" ht="20.25" customHeight="1">
      <c r="A13" s="80"/>
      <c r="B13" s="47">
        <v>1</v>
      </c>
      <c r="C13" s="71">
        <v>1</v>
      </c>
      <c r="D13" s="71">
        <v>1</v>
      </c>
      <c r="E13" s="95">
        <v>0</v>
      </c>
      <c r="F13" s="40">
        <f t="shared" si="5"/>
      </c>
      <c r="G13" s="48"/>
      <c r="H13" s="41">
        <f>IF(OR(ISBLANK(G13),ISTEXT(G13),G13&lt;0),"",IF(OR(ISBLANK(F13),F13=""),Z13,IF(P59&lt;0,CONCATENATE("* ",100*Y13,"%"),"")))</f>
      </c>
      <c r="I13" s="42">
        <f t="shared" si="6"/>
      </c>
      <c r="J13" s="81">
        <f>IF(OR(U24&gt;0,T24&gt;0,ISBLANK(G13)),"",IF(AND(I13=L13,K24=1),"LOW BID",IF(I13=L13,"TIE BID","")))</f>
      </c>
      <c r="K13" s="5">
        <f t="shared" si="0"/>
        <v>0</v>
      </c>
      <c r="L13" s="73">
        <f>IF(U59&gt;0,"",MIN(I8:I22))</f>
        <v>0</v>
      </c>
      <c r="M13" s="18">
        <f>B1</f>
        <v>1</v>
      </c>
      <c r="N13" s="18">
        <f t="shared" si="7"/>
        <v>1</v>
      </c>
      <c r="O13" s="18">
        <f>IF(AND(B1=1,OR(N13=4,N13=6)),1,0)</f>
        <v>0</v>
      </c>
      <c r="P13" s="19">
        <f>IF(AND(B1=1,O24&gt;0,OR(N13=3,N13=5)),-0.02,0)</f>
        <v>0</v>
      </c>
      <c r="Q13" s="74">
        <f t="shared" si="1"/>
        <v>0</v>
      </c>
      <c r="R13" s="74">
        <f t="shared" si="2"/>
        <v>0</v>
      </c>
      <c r="S13" s="74">
        <f t="shared" si="3"/>
        <v>0</v>
      </c>
      <c r="T13" s="18">
        <f t="shared" si="8"/>
        <v>0</v>
      </c>
      <c r="U13" s="75">
        <f t="shared" si="9"/>
        <v>0</v>
      </c>
      <c r="V13" s="76">
        <f t="shared" si="10"/>
        <v>0</v>
      </c>
      <c r="W13" s="76">
        <f t="shared" si="11"/>
        <v>0</v>
      </c>
      <c r="X13" s="76">
        <f t="shared" si="4"/>
        <v>0</v>
      </c>
      <c r="Y13" s="76">
        <f t="shared" si="12"/>
        <v>0</v>
      </c>
      <c r="Z13" s="76">
        <f t="shared" si="13"/>
        <v>0</v>
      </c>
      <c r="AA13" s="77" t="str">
        <f>IF(B1&lt;=1,"  RVP + SCEPP","  ~~~~~~~~~~")</f>
        <v>  RVP + SCEPP</v>
      </c>
    </row>
    <row r="14" spans="1:27" ht="20.25" customHeight="1">
      <c r="A14" s="80"/>
      <c r="B14" s="47">
        <v>1</v>
      </c>
      <c r="C14" s="71">
        <v>1</v>
      </c>
      <c r="D14" s="71">
        <v>1</v>
      </c>
      <c r="E14" s="95">
        <v>0</v>
      </c>
      <c r="F14" s="40">
        <f t="shared" si="5"/>
      </c>
      <c r="G14" s="48"/>
      <c r="H14" s="41">
        <f>IF(OR(ISBLANK(G14),ISTEXT(G14),G14&lt;0),"",IF(OR(ISBLANK(F14),F14=""),Z14,IF(P59&lt;0,CONCATENATE("* ",100*Y14,"%"),"")))</f>
      </c>
      <c r="I14" s="42">
        <f t="shared" si="6"/>
      </c>
      <c r="J14" s="81">
        <f>IF(OR(U24&gt;0,T24&gt;0,ISBLANK(G14)),"",IF(AND(I14=L14,K24=1),"LOW BID",IF(I14=L14,"TIE BID","")))</f>
      </c>
      <c r="K14" s="5">
        <f t="shared" si="0"/>
        <v>0</v>
      </c>
      <c r="L14" s="73">
        <f>IF(U59&gt;0,"",MIN(I8:I22))</f>
        <v>0</v>
      </c>
      <c r="M14" s="18">
        <f>B1</f>
        <v>1</v>
      </c>
      <c r="N14" s="18">
        <f t="shared" si="7"/>
        <v>1</v>
      </c>
      <c r="O14" s="18">
        <f>IF(AND(B1=1,OR(N14=4,N14=6)),1,0)</f>
        <v>0</v>
      </c>
      <c r="P14" s="19">
        <f>IF(AND(B1=1,O24&gt;0,OR(N14=3,N14=5)),-0.02,0)</f>
        <v>0</v>
      </c>
      <c r="Q14" s="74">
        <f t="shared" si="1"/>
        <v>0</v>
      </c>
      <c r="R14" s="74">
        <f t="shared" si="2"/>
        <v>0</v>
      </c>
      <c r="S14" s="74">
        <f t="shared" si="3"/>
        <v>0</v>
      </c>
      <c r="T14" s="18">
        <f t="shared" si="8"/>
        <v>0</v>
      </c>
      <c r="U14" s="75">
        <f t="shared" si="9"/>
        <v>0</v>
      </c>
      <c r="V14" s="76">
        <f t="shared" si="10"/>
        <v>0</v>
      </c>
      <c r="W14" s="76">
        <f t="shared" si="11"/>
        <v>0</v>
      </c>
      <c r="X14" s="76">
        <f t="shared" si="4"/>
        <v>0</v>
      </c>
      <c r="Y14" s="76">
        <f t="shared" si="12"/>
        <v>0</v>
      </c>
      <c r="Z14" s="76">
        <f t="shared" si="13"/>
        <v>0</v>
      </c>
      <c r="AA14" s="18"/>
    </row>
    <row r="15" spans="1:27" ht="20.25" customHeight="1">
      <c r="A15" s="80"/>
      <c r="B15" s="47">
        <v>1</v>
      </c>
      <c r="C15" s="71">
        <v>1</v>
      </c>
      <c r="D15" s="71">
        <v>1</v>
      </c>
      <c r="E15" s="95">
        <v>0</v>
      </c>
      <c r="F15" s="40">
        <f t="shared" si="5"/>
      </c>
      <c r="G15" s="48"/>
      <c r="H15" s="41">
        <f>IF(OR(ISBLANK(G15),ISTEXT(G15),G15&lt;0),"",IF(OR(ISBLANK(F15),F15=""),Z15,IF(P59&lt;0,CONCATENATE("* ",100*Y15,"%"),"")))</f>
      </c>
      <c r="I15" s="42">
        <f t="shared" si="6"/>
      </c>
      <c r="J15" s="81">
        <f>IF(OR(U24&gt;0,T24&gt;0,ISBLANK(G15)),"",IF(AND(I15=L15,K24=1),"LOW BID",IF(I15=L15,"TIE BID","")))</f>
      </c>
      <c r="K15" s="5">
        <f t="shared" si="0"/>
        <v>0</v>
      </c>
      <c r="L15" s="73">
        <f>IF(U59&gt;0,"",MIN(I8:I22))</f>
        <v>0</v>
      </c>
      <c r="M15" s="18">
        <f>B1</f>
        <v>1</v>
      </c>
      <c r="N15" s="18">
        <f t="shared" si="7"/>
        <v>1</v>
      </c>
      <c r="O15" s="18">
        <f>IF(AND(B1=1,OR(N15=4,N15=6)),1,0)</f>
        <v>0</v>
      </c>
      <c r="P15" s="19">
        <f>IF(AND(B1=1,O24&gt;0,OR(N15=3,N15=5)),-0.02,0)</f>
        <v>0</v>
      </c>
      <c r="Q15" s="74">
        <f t="shared" si="1"/>
        <v>0</v>
      </c>
      <c r="R15" s="74">
        <f t="shared" si="2"/>
        <v>0</v>
      </c>
      <c r="S15" s="74">
        <f t="shared" si="3"/>
        <v>0</v>
      </c>
      <c r="T15" s="18">
        <f t="shared" si="8"/>
        <v>0</v>
      </c>
      <c r="U15" s="75">
        <f t="shared" si="9"/>
        <v>0</v>
      </c>
      <c r="V15" s="76">
        <f t="shared" si="10"/>
        <v>0</v>
      </c>
      <c r="W15" s="76">
        <f t="shared" si="11"/>
        <v>0</v>
      </c>
      <c r="X15" s="76">
        <f t="shared" si="4"/>
        <v>0</v>
      </c>
      <c r="Y15" s="76">
        <f t="shared" si="12"/>
        <v>0</v>
      </c>
      <c r="Z15" s="76">
        <f t="shared" si="13"/>
        <v>0</v>
      </c>
      <c r="AA15" s="77"/>
    </row>
    <row r="16" spans="1:27" ht="20.25" customHeight="1">
      <c r="A16" s="80"/>
      <c r="B16" s="47">
        <v>1</v>
      </c>
      <c r="C16" s="71">
        <v>1</v>
      </c>
      <c r="D16" s="71">
        <v>1</v>
      </c>
      <c r="E16" s="95">
        <v>0</v>
      </c>
      <c r="F16" s="40">
        <f t="shared" si="5"/>
      </c>
      <c r="G16" s="48"/>
      <c r="H16" s="41">
        <f>IF(OR(ISBLANK(G16),ISTEXT(G16),G16&lt;0),"",IF(OR(ISBLANK(F16),F16=""),Z16,IF(P59&lt;0,CONCATENATE("* ",100*Y16,"%"),"")))</f>
      </c>
      <c r="I16" s="42">
        <f t="shared" si="6"/>
      </c>
      <c r="J16" s="81">
        <f>IF(OR(U24&gt;0,T24&gt;0,ISBLANK(G16)),"",IF(AND(I16=L16,K24=1),"LOW BID",IF(I16=L16,"TIE BID","")))</f>
      </c>
      <c r="K16" s="5">
        <f t="shared" si="0"/>
        <v>0</v>
      </c>
      <c r="L16" s="73">
        <f>IF(U59&gt;0,"",MIN(I8:I22))</f>
        <v>0</v>
      </c>
      <c r="M16" s="18">
        <f>B1</f>
        <v>1</v>
      </c>
      <c r="N16" s="18">
        <f t="shared" si="7"/>
        <v>1</v>
      </c>
      <c r="O16" s="18">
        <f>IF(AND(B1=1,OR(N16=4,N16=6)),1,0)</f>
        <v>0</v>
      </c>
      <c r="P16" s="19">
        <f>IF(AND(B1=1,O24&gt;0,OR(N16=3,N16=5)),-0.02,0)</f>
        <v>0</v>
      </c>
      <c r="Q16" s="74">
        <f t="shared" si="1"/>
        <v>0</v>
      </c>
      <c r="R16" s="74">
        <f t="shared" si="2"/>
        <v>0</v>
      </c>
      <c r="S16" s="74">
        <f t="shared" si="3"/>
        <v>0</v>
      </c>
      <c r="T16" s="18">
        <f t="shared" si="8"/>
        <v>0</v>
      </c>
      <c r="U16" s="75">
        <f t="shared" si="9"/>
        <v>0</v>
      </c>
      <c r="V16" s="76">
        <f t="shared" si="10"/>
        <v>0</v>
      </c>
      <c r="W16" s="76">
        <f t="shared" si="11"/>
        <v>0</v>
      </c>
      <c r="X16" s="76">
        <f t="shared" si="4"/>
        <v>0</v>
      </c>
      <c r="Y16" s="76">
        <f t="shared" si="12"/>
        <v>0</v>
      </c>
      <c r="Z16" s="76">
        <f t="shared" si="13"/>
        <v>0</v>
      </c>
      <c r="AA16" s="18"/>
    </row>
    <row r="17" spans="1:27" ht="20.25" customHeight="1">
      <c r="A17" s="80"/>
      <c r="B17" s="47">
        <v>1</v>
      </c>
      <c r="C17" s="71">
        <v>1</v>
      </c>
      <c r="D17" s="71">
        <v>1</v>
      </c>
      <c r="E17" s="95">
        <v>0</v>
      </c>
      <c r="F17" s="40">
        <f t="shared" si="5"/>
      </c>
      <c r="G17" s="48"/>
      <c r="H17" s="41">
        <f>IF(OR(ISBLANK(G17),ISTEXT(G17),G17&lt;0),"",IF(OR(ISBLANK(F17),F17=""),Z17,IF(P59&lt;0,CONCATENATE("* ",100*Y17,"%"),"")))</f>
      </c>
      <c r="I17" s="42">
        <f t="shared" si="6"/>
      </c>
      <c r="J17" s="81">
        <f>IF(OR(U24&gt;0,T24&gt;0,ISBLANK(G17)),"",IF(AND(I17=L17,K24=1),"LOW BID",IF(I17=L17,"TIE BID","")))</f>
      </c>
      <c r="K17" s="5">
        <f t="shared" si="0"/>
        <v>0</v>
      </c>
      <c r="L17" s="73">
        <f>IF(U59&gt;0,"",MIN(I8:I22))</f>
        <v>0</v>
      </c>
      <c r="M17" s="18">
        <f>B1</f>
        <v>1</v>
      </c>
      <c r="N17" s="18">
        <f t="shared" si="7"/>
        <v>1</v>
      </c>
      <c r="O17" s="18">
        <f>IF(AND(B1=1,OR(N17=4,N17=6)),1,0)</f>
        <v>0</v>
      </c>
      <c r="P17" s="19">
        <f>IF(AND(B1=1,O24&gt;0,OR(N17=3,N17=5)),-0.02,0)</f>
        <v>0</v>
      </c>
      <c r="Q17" s="74">
        <f t="shared" si="1"/>
        <v>0</v>
      </c>
      <c r="R17" s="74">
        <f t="shared" si="2"/>
        <v>0</v>
      </c>
      <c r="S17" s="74">
        <f t="shared" si="3"/>
        <v>0</v>
      </c>
      <c r="T17" s="18">
        <f t="shared" si="8"/>
        <v>0</v>
      </c>
      <c r="U17" s="75">
        <f t="shared" si="9"/>
        <v>0</v>
      </c>
      <c r="V17" s="76">
        <f t="shared" si="10"/>
        <v>0</v>
      </c>
      <c r="W17" s="76">
        <f t="shared" si="11"/>
        <v>0</v>
      </c>
      <c r="X17" s="76">
        <f t="shared" si="4"/>
        <v>0</v>
      </c>
      <c r="Y17" s="76">
        <f t="shared" si="12"/>
        <v>0</v>
      </c>
      <c r="Z17" s="76">
        <f t="shared" si="13"/>
        <v>0</v>
      </c>
      <c r="AA17" s="78" t="s">
        <v>19</v>
      </c>
    </row>
    <row r="18" spans="1:27" ht="20.25" customHeight="1">
      <c r="A18" s="80"/>
      <c r="B18" s="47">
        <v>1</v>
      </c>
      <c r="C18" s="71">
        <v>1</v>
      </c>
      <c r="D18" s="71">
        <v>1</v>
      </c>
      <c r="E18" s="95">
        <v>0</v>
      </c>
      <c r="F18" s="40">
        <f t="shared" si="5"/>
      </c>
      <c r="G18" s="48"/>
      <c r="H18" s="41">
        <f>IF(OR(ISBLANK(G18),ISTEXT(G18),G18&lt;0),"",IF(OR(ISBLANK(F18),F18=""),Z18,IF(P59&lt;0,CONCATENATE("* ",100*Y18,"%"),"")))</f>
      </c>
      <c r="I18" s="42">
        <f t="shared" si="6"/>
      </c>
      <c r="J18" s="81">
        <f>IF(OR(U24&gt;0,T24&gt;0,ISBLANK(G18)),"",IF(AND(I18=L18,K24=1),"LOW BID",IF(I18=L18,"TIE BID","")))</f>
      </c>
      <c r="K18" s="5">
        <f t="shared" si="0"/>
        <v>0</v>
      </c>
      <c r="L18" s="73">
        <f>IF(U59&gt;0,"",MIN(I8:I22))</f>
        <v>0</v>
      </c>
      <c r="M18" s="18">
        <f>B1</f>
        <v>1</v>
      </c>
      <c r="N18" s="18">
        <f t="shared" si="7"/>
        <v>1</v>
      </c>
      <c r="O18" s="18">
        <f>IF(AND(B1=1,OR(N18=4,N18=6)),1,0)</f>
        <v>0</v>
      </c>
      <c r="P18" s="19">
        <f>IF(AND(B1=1,O24&gt;0,OR(N18=3,N18=5)),-0.02,0)</f>
        <v>0</v>
      </c>
      <c r="Q18" s="74">
        <f t="shared" si="1"/>
        <v>0</v>
      </c>
      <c r="R18" s="74">
        <f t="shared" si="2"/>
        <v>0</v>
      </c>
      <c r="S18" s="74">
        <f t="shared" si="3"/>
        <v>0</v>
      </c>
      <c r="T18" s="18">
        <f t="shared" si="8"/>
        <v>0</v>
      </c>
      <c r="U18" s="75">
        <f t="shared" si="9"/>
        <v>0</v>
      </c>
      <c r="V18" s="76">
        <f t="shared" si="10"/>
        <v>0</v>
      </c>
      <c r="W18" s="76">
        <f t="shared" si="11"/>
        <v>0</v>
      </c>
      <c r="X18" s="76">
        <f t="shared" si="4"/>
        <v>0</v>
      </c>
      <c r="Y18" s="76">
        <f t="shared" si="12"/>
        <v>0</v>
      </c>
      <c r="Z18" s="76">
        <f t="shared" si="13"/>
        <v>0</v>
      </c>
      <c r="AA18" s="78" t="s">
        <v>20</v>
      </c>
    </row>
    <row r="19" spans="1:27" ht="20.25" customHeight="1">
      <c r="A19" s="80"/>
      <c r="B19" s="47">
        <v>1</v>
      </c>
      <c r="C19" s="71">
        <v>1</v>
      </c>
      <c r="D19" s="71">
        <v>1</v>
      </c>
      <c r="E19" s="95">
        <v>0</v>
      </c>
      <c r="F19" s="40">
        <f t="shared" si="5"/>
      </c>
      <c r="G19" s="48"/>
      <c r="H19" s="41">
        <f>IF(OR(ISBLANK(G19),ISTEXT(G19),G19&lt;0),"",IF(OR(ISBLANK(F19),F19=""),Z19,IF(P59&lt;0,CONCATENATE("* ",100*Y19,"%"),"")))</f>
      </c>
      <c r="I19" s="42">
        <f t="shared" si="6"/>
      </c>
      <c r="J19" s="81">
        <f>IF(OR(U24&gt;0,T24&gt;0,ISBLANK(G19)),"",IF(AND(I19=L19,K24=1),"LOW BID",IF(I19=L19,"TIE BID","")))</f>
      </c>
      <c r="K19" s="5">
        <f t="shared" si="0"/>
        <v>0</v>
      </c>
      <c r="L19" s="73">
        <f>IF(U59&gt;0,"",MIN(I8:I22))</f>
        <v>0</v>
      </c>
      <c r="M19" s="18">
        <f>B1</f>
        <v>1</v>
      </c>
      <c r="N19" s="18">
        <f t="shared" si="7"/>
        <v>1</v>
      </c>
      <c r="O19" s="18">
        <f>IF(AND(B1=1,OR(N19=4,N19=6)),1,0)</f>
        <v>0</v>
      </c>
      <c r="P19" s="19">
        <f>IF(AND(B1=1,O24&gt;0,OR(N19=3,N19=5)),-0.02,0)</f>
        <v>0</v>
      </c>
      <c r="Q19" s="74">
        <f t="shared" si="1"/>
        <v>0</v>
      </c>
      <c r="R19" s="74">
        <f t="shared" si="2"/>
        <v>0</v>
      </c>
      <c r="S19" s="74">
        <f t="shared" si="3"/>
        <v>0</v>
      </c>
      <c r="T19" s="18">
        <f t="shared" si="8"/>
        <v>0</v>
      </c>
      <c r="U19" s="75">
        <f t="shared" si="9"/>
        <v>0</v>
      </c>
      <c r="V19" s="76">
        <f t="shared" si="10"/>
        <v>0</v>
      </c>
      <c r="W19" s="76">
        <f t="shared" si="11"/>
        <v>0</v>
      </c>
      <c r="X19" s="76">
        <f t="shared" si="4"/>
        <v>0</v>
      </c>
      <c r="Y19" s="76">
        <f t="shared" si="12"/>
        <v>0</v>
      </c>
      <c r="Z19" s="76">
        <f t="shared" si="13"/>
        <v>0</v>
      </c>
      <c r="AA19" s="78" t="s">
        <v>21</v>
      </c>
    </row>
    <row r="20" spans="1:27" ht="20.25" customHeight="1">
      <c r="A20" s="80"/>
      <c r="B20" s="47">
        <v>1</v>
      </c>
      <c r="C20" s="71">
        <v>1</v>
      </c>
      <c r="D20" s="71">
        <v>1</v>
      </c>
      <c r="E20" s="95">
        <v>0</v>
      </c>
      <c r="F20" s="40">
        <f t="shared" si="5"/>
      </c>
      <c r="G20" s="48"/>
      <c r="H20" s="41">
        <f>IF(OR(ISBLANK(G20),ISTEXT(G20),G20&lt;0),"",IF(OR(ISBLANK(F20),F20=""),Z20,IF(P59&lt;0,CONCATENATE("* ",100*Y20,"%"),"")))</f>
      </c>
      <c r="I20" s="42">
        <f t="shared" si="6"/>
      </c>
      <c r="J20" s="81">
        <f>IF(OR(U24&gt;0,T24&gt;0,ISBLANK(G20)),"",IF(AND(I20=L20,K24=1),"LOW BID",IF(I20=L20,"TIE BID","")))</f>
      </c>
      <c r="K20" s="5">
        <f t="shared" si="0"/>
        <v>0</v>
      </c>
      <c r="L20" s="73">
        <f>IF(U59&gt;0,"",MIN(I8:I22))</f>
        <v>0</v>
      </c>
      <c r="M20" s="18">
        <f>B1</f>
        <v>1</v>
      </c>
      <c r="N20" s="18">
        <f t="shared" si="7"/>
        <v>1</v>
      </c>
      <c r="O20" s="18">
        <f>IF(AND(B1=1,OR(N20=4,N20=6)),1,0)</f>
        <v>0</v>
      </c>
      <c r="P20" s="19">
        <f>IF(AND(B1=1,O24&gt;0,OR(N20=3,N20=5)),-0.02,0)</f>
        <v>0</v>
      </c>
      <c r="Q20" s="74">
        <f t="shared" si="1"/>
        <v>0</v>
      </c>
      <c r="R20" s="74">
        <f t="shared" si="2"/>
        <v>0</v>
      </c>
      <c r="S20" s="74">
        <f t="shared" si="3"/>
        <v>0</v>
      </c>
      <c r="T20" s="18">
        <f t="shared" si="8"/>
        <v>0</v>
      </c>
      <c r="U20" s="75">
        <f t="shared" si="9"/>
        <v>0</v>
      </c>
      <c r="V20" s="76">
        <f t="shared" si="10"/>
        <v>0</v>
      </c>
      <c r="W20" s="76">
        <f t="shared" si="11"/>
        <v>0</v>
      </c>
      <c r="X20" s="76">
        <f t="shared" si="4"/>
        <v>0</v>
      </c>
      <c r="Y20" s="76">
        <f t="shared" si="12"/>
        <v>0</v>
      </c>
      <c r="Z20" s="76">
        <f t="shared" si="13"/>
        <v>0</v>
      </c>
      <c r="AA20" s="78" t="s">
        <v>22</v>
      </c>
    </row>
    <row r="21" spans="1:27" ht="20.25" customHeight="1">
      <c r="A21" s="80"/>
      <c r="B21" s="47">
        <v>1</v>
      </c>
      <c r="C21" s="71">
        <v>1</v>
      </c>
      <c r="D21" s="71">
        <v>1</v>
      </c>
      <c r="E21" s="95">
        <v>0</v>
      </c>
      <c r="F21" s="40">
        <f t="shared" si="5"/>
      </c>
      <c r="G21" s="48"/>
      <c r="H21" s="41">
        <f>IF(OR(ISBLANK(G21),ISTEXT(G21),G21&lt;0),"",IF(OR(ISBLANK(F21),F21=""),Z21,IF(P59&lt;0,CONCATENATE("* ",100*Y21,"%"),"")))</f>
      </c>
      <c r="I21" s="42">
        <f t="shared" si="6"/>
      </c>
      <c r="J21" s="81">
        <f>IF(OR(U24&gt;0,T24&gt;0,ISBLANK(G21)),"",IF(AND(I21=L21,K24=1),"LOW BID",IF(I21=L21,"TIE BID","")))</f>
      </c>
      <c r="K21" s="5">
        <f t="shared" si="0"/>
        <v>0</v>
      </c>
      <c r="L21" s="73">
        <f>IF(U59&gt;0,"",MIN(I8:I22))</f>
        <v>0</v>
      </c>
      <c r="M21" s="18">
        <f>B1</f>
        <v>1</v>
      </c>
      <c r="N21" s="18">
        <f t="shared" si="7"/>
        <v>1</v>
      </c>
      <c r="O21" s="18">
        <f>IF(AND(B1=1,OR(N21=4,N21=6)),1,0)</f>
        <v>0</v>
      </c>
      <c r="P21" s="19">
        <f>IF(AND(B1=1,O24&gt;0,OR(N21=3,N21=5)),-0.02,0)</f>
        <v>0</v>
      </c>
      <c r="Q21" s="74">
        <f t="shared" si="1"/>
        <v>0</v>
      </c>
      <c r="R21" s="74">
        <f t="shared" si="2"/>
        <v>0</v>
      </c>
      <c r="S21" s="74">
        <f t="shared" si="3"/>
        <v>0</v>
      </c>
      <c r="T21" s="18">
        <f t="shared" si="8"/>
        <v>0</v>
      </c>
      <c r="U21" s="75">
        <f t="shared" si="9"/>
        <v>0</v>
      </c>
      <c r="V21" s="76">
        <f t="shared" si="10"/>
        <v>0</v>
      </c>
      <c r="W21" s="76">
        <f t="shared" si="11"/>
        <v>0</v>
      </c>
      <c r="X21" s="76">
        <f t="shared" si="4"/>
        <v>0</v>
      </c>
      <c r="Y21" s="76">
        <f t="shared" si="12"/>
        <v>0</v>
      </c>
      <c r="Z21" s="76">
        <f t="shared" si="13"/>
        <v>0</v>
      </c>
      <c r="AA21" s="78" t="s">
        <v>23</v>
      </c>
    </row>
    <row r="22" spans="1:27" ht="20.25" customHeight="1" thickBot="1">
      <c r="A22" s="82"/>
      <c r="B22" s="83">
        <v>1</v>
      </c>
      <c r="C22" s="84">
        <v>1</v>
      </c>
      <c r="D22" s="84">
        <v>1</v>
      </c>
      <c r="E22" s="96">
        <v>0</v>
      </c>
      <c r="F22" s="85">
        <f t="shared" si="5"/>
      </c>
      <c r="G22" s="86"/>
      <c r="H22" s="87">
        <f>IF(OR(ISBLANK(G22),ISTEXT(G22),G22&lt;0),"",IF(OR(ISBLANK(F22),F22=""),Z22,IF(P59&lt;0,CONCATENATE("* ",100*Y22,"%"),"")))</f>
      </c>
      <c r="I22" s="88">
        <f t="shared" si="6"/>
      </c>
      <c r="J22" s="89">
        <f>IF(OR(U24&gt;0,T24&gt;0,ISBLANK(G22)),"",IF(AND(I22=L22,K24=1),"LOW BID",IF(I22=L22,"TIE BID","")))</f>
      </c>
      <c r="K22" s="5">
        <f t="shared" si="0"/>
        <v>0</v>
      </c>
      <c r="L22" s="73">
        <f>IF(U59&gt;0,"",MIN(I8:I22))</f>
        <v>0</v>
      </c>
      <c r="M22" s="18">
        <f>B1</f>
        <v>1</v>
      </c>
      <c r="N22" s="18">
        <f t="shared" si="7"/>
        <v>1</v>
      </c>
      <c r="O22" s="18">
        <f>IF(AND(B1=1,OR(N22=4,N22=6)),1,0)</f>
        <v>0</v>
      </c>
      <c r="P22" s="19">
        <f>IF(AND(B1=1,O24&gt;0,OR(N22=3,N22=5)),-0.02,0)</f>
        <v>0</v>
      </c>
      <c r="Q22" s="74">
        <f t="shared" si="1"/>
        <v>0</v>
      </c>
      <c r="R22" s="74">
        <f t="shared" si="2"/>
        <v>0</v>
      </c>
      <c r="S22" s="74">
        <f t="shared" si="3"/>
        <v>0</v>
      </c>
      <c r="T22" s="18">
        <f t="shared" si="8"/>
        <v>0</v>
      </c>
      <c r="U22" s="75">
        <f t="shared" si="9"/>
        <v>0</v>
      </c>
      <c r="V22" s="76">
        <f t="shared" si="10"/>
        <v>0</v>
      </c>
      <c r="W22" s="76">
        <f t="shared" si="11"/>
        <v>0</v>
      </c>
      <c r="X22" s="76">
        <f t="shared" si="4"/>
        <v>0</v>
      </c>
      <c r="Y22" s="76">
        <f t="shared" si="12"/>
        <v>0</v>
      </c>
      <c r="Z22" s="76">
        <f t="shared" si="13"/>
        <v>0</v>
      </c>
      <c r="AA22" s="78" t="s">
        <v>24</v>
      </c>
    </row>
    <row r="23" spans="4:21" ht="7.5" customHeight="1">
      <c r="D23" s="27"/>
      <c r="E23" s="27"/>
      <c r="L23" s="24"/>
      <c r="N23" s="24"/>
      <c r="O23" s="24"/>
      <c r="P23" s="28"/>
      <c r="Q23" s="24"/>
      <c r="R23" s="23"/>
      <c r="S23" s="23"/>
      <c r="U23" s="24"/>
    </row>
    <row r="24" spans="1:21" ht="14.25" customHeight="1">
      <c r="A24" s="69" t="s">
        <v>87</v>
      </c>
      <c r="B24" s="70"/>
      <c r="C24" s="70"/>
      <c r="D24" s="70"/>
      <c r="E24" s="70"/>
      <c r="F24" s="70"/>
      <c r="G24" s="70"/>
      <c r="H24" s="70"/>
      <c r="I24" s="70"/>
      <c r="J24" s="70"/>
      <c r="K24" s="44">
        <f>SUM(K8:K22)</f>
        <v>0</v>
      </c>
      <c r="L24" s="24"/>
      <c r="N24" s="24"/>
      <c r="O24" s="24">
        <f>SUM(O8:O23)</f>
        <v>0</v>
      </c>
      <c r="P24" s="28">
        <f>SUM(P8:P23)</f>
        <v>0</v>
      </c>
      <c r="Q24" s="24"/>
      <c r="R24" s="23"/>
      <c r="T24" s="23">
        <f>SUM(T8:T23)</f>
        <v>0</v>
      </c>
      <c r="U24" s="23">
        <f>SUM(U8:U23)</f>
        <v>0</v>
      </c>
    </row>
    <row r="25" spans="1:10" ht="14.25" customHeight="1">
      <c r="A25" s="70" t="s">
        <v>88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4.25" customHeight="1">
      <c r="A26" s="70" t="s">
        <v>89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2:3" ht="12.75">
      <c r="B27" s="49">
        <f>IF(AND(K24&gt;1,U24=0),"TIE BID:","")</f>
      </c>
      <c r="C27" s="50">
        <f>IF(AND(K24&gt;1,U24=0),"See Section 11-35-1520(9) to resolve a Tie Bid.","")</f>
      </c>
    </row>
    <row r="28" spans="2:3" ht="12.75">
      <c r="B28" s="8">
        <f>IF(OR(T24&gt;0,U24&gt;0),"ERROR:","")</f>
      </c>
      <c r="C28" s="9">
        <f>IF(U24&gt;0,"Please enter a positive numeric value.",IF(T24&gt;=1,"It is practically impossible for labor costs to equal 100% (or more) of total bid price.",""))</f>
      </c>
    </row>
    <row r="29" ht="12.75">
      <c r="C29" s="9">
        <f>IF(AND(U24=0,T24&gt;0),"Please adjust the subcontractor preferences to reflect a total less than 100%.","")</f>
      </c>
    </row>
    <row r="30" spans="1:3" ht="12.75">
      <c r="A30" s="8"/>
      <c r="B30" s="8"/>
      <c r="C30" s="9"/>
    </row>
    <row r="31" ht="12.75">
      <c r="A31" s="8"/>
    </row>
    <row r="32" ht="12.75">
      <c r="A32" s="10"/>
    </row>
    <row r="33" ht="12.75">
      <c r="A33" s="10"/>
    </row>
    <row r="34" ht="21.75" customHeight="1">
      <c r="J34" s="39"/>
    </row>
  </sheetData>
  <sheetProtection sheet="1" objects="1" scenarios="1"/>
  <mergeCells count="14">
    <mergeCell ref="A5:A6"/>
    <mergeCell ref="B5:B6"/>
    <mergeCell ref="G5:G6"/>
    <mergeCell ref="H5:H6"/>
    <mergeCell ref="C5:E5"/>
    <mergeCell ref="C6:E6"/>
    <mergeCell ref="O7:P7"/>
    <mergeCell ref="I5:I6"/>
    <mergeCell ref="J5:J6"/>
    <mergeCell ref="L5:L6"/>
    <mergeCell ref="B2:C2"/>
    <mergeCell ref="B3:C3"/>
    <mergeCell ref="F2:H2"/>
    <mergeCell ref="F3:G3"/>
  </mergeCells>
  <printOptions horizontalCentered="1"/>
  <pageMargins left="0.25" right="0.25" top="1" bottom="0" header="0.5" footer="0.5"/>
  <pageSetup horizontalDpi="600" verticalDpi="600" orientation="landscape" scale="97" r:id="rId3"/>
  <headerFooter alignWithMargins="0">
    <oddHeader>&amp;C&amp;"Arial Black,Regular"&amp;12Preferences Calculator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LLR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Preferences</dc:title>
  <dc:subject>MMO</dc:subject>
  <dc:creator>Mac Stiles</dc:creator>
  <cp:keywords/>
  <dc:description/>
  <cp:lastModifiedBy>Keith McCook</cp:lastModifiedBy>
  <cp:lastPrinted>2009-12-21T19:25:58Z</cp:lastPrinted>
  <dcterms:created xsi:type="dcterms:W3CDTF">1998-02-24T16:20:14Z</dcterms:created>
  <dcterms:modified xsi:type="dcterms:W3CDTF">2009-12-30T15:10:42Z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